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9"/>
  <workbookPr defaultThemeVersion="166925"/>
  <mc:AlternateContent xmlns:mc="http://schemas.openxmlformats.org/markup-compatibility/2006">
    <mc:Choice Requires="x15">
      <x15ac:absPath xmlns:x15ac="http://schemas.microsoft.com/office/spreadsheetml/2010/11/ac" url="/Users/irinahacker/JLUbox/Irina Home/writing/2023_mRNA-based transformation/manuscript files/"/>
    </mc:Choice>
  </mc:AlternateContent>
  <xr:revisionPtr revIDLastSave="0" documentId="13_ncr:1_{05B2E9DE-A8AF-064B-A25A-5A91B7407B76}" xr6:coauthVersionLast="47" xr6:coauthVersionMax="47" xr10:uidLastSave="{00000000-0000-0000-0000-000000000000}"/>
  <bookViews>
    <workbookView xWindow="2220" yWindow="5800" windowWidth="38740" windowHeight="20440" xr2:uid="{8D2651AF-1264-BD47-9293-4BF7EA492A0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7" i="1" l="1"/>
  <c r="AC26" i="1"/>
  <c r="AA26" i="1"/>
  <c r="Y26" i="1"/>
  <c r="X26" i="1"/>
  <c r="U26" i="1"/>
  <c r="V26" i="1" s="1"/>
  <c r="O26" i="1"/>
  <c r="J26" i="1"/>
  <c r="F26" i="1"/>
  <c r="H26" i="1" s="1"/>
  <c r="AC25" i="1"/>
  <c r="AA25" i="1"/>
  <c r="Y25" i="1"/>
  <c r="X25" i="1"/>
  <c r="V25" i="1"/>
  <c r="O25" i="1"/>
  <c r="J25" i="1"/>
  <c r="H25" i="1"/>
  <c r="F25" i="1"/>
  <c r="W25" i="1" s="1"/>
  <c r="AA24" i="1"/>
  <c r="X24" i="1"/>
  <c r="V24" i="1"/>
  <c r="J24" i="1"/>
  <c r="AC23" i="1"/>
  <c r="AA23" i="1"/>
  <c r="Y23" i="1"/>
  <c r="X23" i="1"/>
  <c r="W23" i="1"/>
  <c r="V23" i="1"/>
  <c r="O23" i="1"/>
  <c r="J23" i="1"/>
  <c r="H23" i="1"/>
  <c r="AC22" i="1"/>
  <c r="AA22" i="1"/>
  <c r="Y22" i="1"/>
  <c r="X22" i="1"/>
  <c r="W22" i="1"/>
  <c r="V22" i="1"/>
  <c r="O22" i="1"/>
  <c r="J22" i="1"/>
  <c r="H22" i="1"/>
  <c r="AC21" i="1"/>
  <c r="AA21" i="1"/>
  <c r="Y21" i="1"/>
  <c r="X21" i="1"/>
  <c r="W21" i="1"/>
  <c r="V21" i="1"/>
  <c r="O21" i="1"/>
  <c r="J21" i="1"/>
  <c r="H21" i="1"/>
  <c r="AC20" i="1"/>
  <c r="AA20" i="1"/>
  <c r="Y20" i="1"/>
  <c r="Y27" i="1" s="1"/>
  <c r="X20" i="1"/>
  <c r="W20" i="1"/>
  <c r="V20" i="1"/>
  <c r="O20" i="1"/>
  <c r="J20" i="1"/>
  <c r="H20" i="1"/>
  <c r="AC19" i="1"/>
  <c r="AA19" i="1"/>
  <c r="Y19" i="1"/>
  <c r="X19" i="1"/>
  <c r="U19" i="1"/>
  <c r="V19" i="1" s="1"/>
  <c r="T19" i="1"/>
  <c r="O19" i="1"/>
  <c r="J19" i="1"/>
  <c r="J27" i="1" s="1"/>
  <c r="F19" i="1"/>
  <c r="W19" i="1" s="1"/>
  <c r="AC18" i="1"/>
  <c r="AC27" i="1" s="1"/>
  <c r="AA18" i="1"/>
  <c r="Y18" i="1"/>
  <c r="X18" i="1"/>
  <c r="W18" i="1"/>
  <c r="V18" i="1"/>
  <c r="O18" i="1"/>
  <c r="J18" i="1"/>
  <c r="H18" i="1"/>
  <c r="AB15" i="1"/>
  <c r="AA15" i="1"/>
  <c r="Q14" i="1"/>
  <c r="AC14" i="1" s="1"/>
  <c r="O14" i="1"/>
  <c r="J14" i="1"/>
  <c r="F14" i="1"/>
  <c r="H14" i="1" s="1"/>
  <c r="Q13" i="1"/>
  <c r="AC13" i="1" s="1"/>
  <c r="O13" i="1"/>
  <c r="J13" i="1"/>
  <c r="F13" i="1"/>
  <c r="H13" i="1" s="1"/>
  <c r="Y12" i="1"/>
  <c r="X12" i="1"/>
  <c r="V12" i="1"/>
  <c r="Q12" i="1"/>
  <c r="AC12" i="1" s="1"/>
  <c r="O12" i="1"/>
  <c r="J12" i="1"/>
  <c r="H12" i="1"/>
  <c r="Q11" i="1"/>
  <c r="AC11" i="1" s="1"/>
  <c r="O11" i="1"/>
  <c r="J11" i="1"/>
  <c r="H11" i="1"/>
  <c r="Q10" i="1"/>
  <c r="AC10" i="1" s="1"/>
  <c r="O10" i="1"/>
  <c r="J10" i="1"/>
  <c r="H10" i="1"/>
  <c r="AC9" i="1"/>
  <c r="Y9" i="1"/>
  <c r="X9" i="1"/>
  <c r="W9" i="1"/>
  <c r="V9" i="1"/>
  <c r="O9" i="1"/>
  <c r="J9" i="1"/>
  <c r="H9" i="1"/>
  <c r="AC8" i="1"/>
  <c r="Y8" i="1"/>
  <c r="X8" i="1"/>
  <c r="W8" i="1"/>
  <c r="V8" i="1"/>
  <c r="O8" i="1"/>
  <c r="J8" i="1"/>
  <c r="H8" i="1"/>
  <c r="AC7" i="1"/>
  <c r="Q7" i="1"/>
  <c r="O7" i="1"/>
  <c r="J7" i="1"/>
  <c r="H7" i="1"/>
  <c r="AC6" i="1"/>
  <c r="Q6" i="1"/>
  <c r="O6" i="1"/>
  <c r="J6" i="1"/>
  <c r="H6" i="1"/>
  <c r="AC5" i="1"/>
  <c r="Q5" i="1"/>
  <c r="O5" i="1"/>
  <c r="J5" i="1"/>
  <c r="H5" i="1"/>
  <c r="AC4" i="1"/>
  <c r="Y4" i="1"/>
  <c r="X4" i="1"/>
  <c r="W4" i="1"/>
  <c r="V4" i="1"/>
  <c r="O4" i="1"/>
  <c r="J4" i="1"/>
  <c r="F4" i="1"/>
  <c r="H4" i="1" s="1"/>
  <c r="AC3" i="1"/>
  <c r="Y3" i="1"/>
  <c r="Y15" i="1" s="1"/>
  <c r="X3" i="1"/>
  <c r="W3" i="1"/>
  <c r="V3" i="1"/>
  <c r="O3" i="1"/>
  <c r="J3" i="1"/>
  <c r="AC2" i="1"/>
  <c r="X2" i="1"/>
  <c r="W2" i="1"/>
  <c r="O2" i="1"/>
  <c r="J2" i="1"/>
  <c r="H2" i="1"/>
  <c r="J15" i="1" l="1"/>
  <c r="O15" i="1"/>
  <c r="O27" i="1"/>
  <c r="X27" i="1"/>
  <c r="AA27" i="1"/>
  <c r="V15" i="1"/>
  <c r="X15" i="1"/>
  <c r="H15" i="1"/>
  <c r="W15" i="1"/>
  <c r="V27" i="1"/>
  <c r="AC15" i="1"/>
  <c r="H19" i="1"/>
  <c r="H27" i="1" s="1"/>
  <c r="W12" i="1"/>
  <c r="W26" i="1"/>
  <c r="W27" i="1" s="1"/>
</calcChain>
</file>

<file path=xl/sharedStrings.xml><?xml version="1.0" encoding="utf-8"?>
<sst xmlns="http://schemas.openxmlformats.org/spreadsheetml/2006/main" count="275" uniqueCount="135">
  <si>
    <t>exp. no.</t>
  </si>
  <si>
    <t>helper template</t>
  </si>
  <si>
    <t>helper/ construct  [ng/ul]</t>
  </si>
  <si>
    <t>donor name</t>
  </si>
  <si>
    <t xml:space="preserve"> insert (plasmid) size (bp)</t>
  </si>
  <si>
    <t xml:space="preserve"> no. injected embryos</t>
  </si>
  <si>
    <t>no. larvae hatched</t>
  </si>
  <si>
    <t>hatch rate (%)</t>
  </si>
  <si>
    <t>no. adults</t>
  </si>
  <si>
    <t>adult eclosion rate (%)</t>
  </si>
  <si>
    <t>no.  single/group crossed G0</t>
  </si>
  <si>
    <t>group size</t>
  </si>
  <si>
    <t>no. all G0 families</t>
  </si>
  <si>
    <t>no. fertile G0 families</t>
  </si>
  <si>
    <t>% fertile G0 families</t>
  </si>
  <si>
    <t>no. transgenic G0 families</t>
  </si>
  <si>
    <t>no. transg. events/ G0 founder</t>
  </si>
  <si>
    <t>total no. G1 screened</t>
  </si>
  <si>
    <t>total no. G1 of transg. fam.</t>
  </si>
  <si>
    <t>no. pos. G1 of transg. fam.</t>
  </si>
  <si>
    <t>% pos. G1 within transg. fam.</t>
  </si>
  <si>
    <t>no. inj. embryos/ transg. line</t>
  </si>
  <si>
    <t>no. G0 adults / transg. line</t>
  </si>
  <si>
    <t>total no. G1 screened / transg. line</t>
  </si>
  <si>
    <t>G1 with multiple integrations</t>
  </si>
  <si>
    <t>% multiple integrations</t>
  </si>
  <si>
    <t>max. no. integr. / individual</t>
  </si>
  <si>
    <t>transf. eff. (%)</t>
  </si>
  <si>
    <t>plasmid</t>
  </si>
  <si>
    <t>300/150</t>
  </si>
  <si>
    <t>AH452</t>
  </si>
  <si>
    <t>143/0</t>
  </si>
  <si>
    <t>7-15</t>
  </si>
  <si>
    <t>n.d</t>
  </si>
  <si>
    <t>200/500</t>
  </si>
  <si>
    <t>V3</t>
  </si>
  <si>
    <t xml:space="preserve">  8/72</t>
  </si>
  <si>
    <t>1-15</t>
  </si>
  <si>
    <t>400/600</t>
  </si>
  <si>
    <t>V285</t>
  </si>
  <si>
    <t xml:space="preserve">  1/116</t>
  </si>
  <si>
    <t xml:space="preserve"> 1-11</t>
  </si>
  <si>
    <t>300/500</t>
  </si>
  <si>
    <t>V286</t>
  </si>
  <si>
    <t xml:space="preserve">  9/30</t>
  </si>
  <si>
    <t xml:space="preserve"> 1-8</t>
  </si>
  <si>
    <t>n.a.</t>
  </si>
  <si>
    <t>160/185</t>
  </si>
  <si>
    <t>V258</t>
  </si>
  <si>
    <t xml:space="preserve">  2/63</t>
  </si>
  <si>
    <t xml:space="preserve"> 1-7</t>
  </si>
  <si>
    <t>0</t>
  </si>
  <si>
    <t>400/600;  228/342</t>
  </si>
  <si>
    <t>0/85</t>
  </si>
  <si>
    <t xml:space="preserve"> 3-16</t>
  </si>
  <si>
    <t>V257</t>
  </si>
  <si>
    <t xml:space="preserve">  0/362</t>
  </si>
  <si>
    <t xml:space="preserve"> 2-15</t>
  </si>
  <si>
    <t>n.d.</t>
  </si>
  <si>
    <t>0 of 2</t>
  </si>
  <si>
    <t>V19</t>
  </si>
  <si>
    <t xml:space="preserve">  0/60</t>
  </si>
  <si>
    <t xml:space="preserve"> 4-15</t>
  </si>
  <si>
    <t>154</t>
  </si>
  <si>
    <t>1 of 2</t>
  </si>
  <si>
    <t xml:space="preserve">  0/45</t>
  </si>
  <si>
    <t xml:space="preserve"> 2-9</t>
  </si>
  <si>
    <t xml:space="preserve">  2/31</t>
  </si>
  <si>
    <t xml:space="preserve"> 1-5</t>
  </si>
  <si>
    <t xml:space="preserve"> 0/33</t>
  </si>
  <si>
    <t xml:space="preserve"> 8-9 ***</t>
  </si>
  <si>
    <t>300/300</t>
  </si>
  <si>
    <t>V368</t>
  </si>
  <si>
    <t xml:space="preserve"> 6/3</t>
  </si>
  <si>
    <t>1 (M), 1-5 (F)</t>
  </si>
  <si>
    <t>100/300</t>
  </si>
  <si>
    <t xml:space="preserve"> 3/2</t>
  </si>
  <si>
    <t>avg</t>
  </si>
  <si>
    <t>note: this list excludes 6 large scale injection experiments which did not produce a single transgenic line, as it can't be excluded that the failure to create transgenic lines in these experiments was due to the injected transgene construct causing lethality in successfully transformed G0/G1</t>
  </si>
  <si>
    <t>mRNA</t>
  </si>
  <si>
    <t>182/300</t>
  </si>
  <si>
    <t>V96</t>
  </si>
  <si>
    <t xml:space="preserve"> 6/0</t>
  </si>
  <si>
    <t>≥ 4</t>
  </si>
  <si>
    <t>1 of 4</t>
  </si>
  <si>
    <t>V97</t>
  </si>
  <si>
    <t xml:space="preserve"> 11/0</t>
  </si>
  <si>
    <t>≥ 7</t>
  </si>
  <si>
    <t>≥ 2 - ≥5</t>
  </si>
  <si>
    <t>6 of 7</t>
  </si>
  <si>
    <t>V370</t>
  </si>
  <si>
    <t xml:space="preserve">  0/156</t>
  </si>
  <si>
    <t xml:space="preserve"> (2-) 15</t>
  </si>
  <si>
    <t>11</t>
  </si>
  <si>
    <t>≥ 19 **</t>
  </si>
  <si>
    <t>≥1</t>
  </si>
  <si>
    <t>12 of 19</t>
  </si>
  <si>
    <t>V369</t>
  </si>
  <si>
    <t xml:space="preserve">  0/68</t>
  </si>
  <si>
    <t>≥ 8 **</t>
  </si>
  <si>
    <t>2 of 8</t>
  </si>
  <si>
    <t xml:space="preserve">  22/11</t>
  </si>
  <si>
    <t>1 (M), 1-4 (F)</t>
  </si>
  <si>
    <t>≥ 24</t>
  </si>
  <si>
    <t xml:space="preserve"> 1 - ≥5</t>
  </si>
  <si>
    <t xml:space="preserve">  10/2</t>
  </si>
  <si>
    <t>2</t>
  </si>
  <si>
    <t xml:space="preserve"> ≥3 - ≥4</t>
  </si>
  <si>
    <t>6 of 11</t>
  </si>
  <si>
    <t>1,61 ****</t>
  </si>
  <si>
    <t xml:space="preserve"> 6/2</t>
  </si>
  <si>
    <t>1 (M), 1-2 (F)</t>
  </si>
  <si>
    <t xml:space="preserve"> 1 - 2</t>
  </si>
  <si>
    <t>161,5 ****</t>
  </si>
  <si>
    <t xml:space="preserve"> 17/5</t>
  </si>
  <si>
    <t>≥ 12</t>
  </si>
  <si>
    <t xml:space="preserve"> ≥2 - 4</t>
  </si>
  <si>
    <t>7 of 12</t>
  </si>
  <si>
    <t xml:space="preserve"> 5/7</t>
  </si>
  <si>
    <t>≥ 9</t>
  </si>
  <si>
    <t xml:space="preserve"> 1 - ≥3</t>
  </si>
  <si>
    <t>5 of 9</t>
  </si>
  <si>
    <t>total no. transg. events</t>
  </si>
  <si>
    <t>5267 (8649)</t>
  </si>
  <si>
    <t>3545 (6911)</t>
  </si>
  <si>
    <t>5180 (8682)</t>
  </si>
  <si>
    <t>5600 (9102)</t>
  </si>
  <si>
    <t>6190 (9690)</t>
  </si>
  <si>
    <t>7088 (10587)</t>
  </si>
  <si>
    <t>3630 (7163)</t>
  </si>
  <si>
    <t>5835 (11097)</t>
  </si>
  <si>
    <t>5278 (8813)</t>
  </si>
  <si>
    <t>4307 (7841)</t>
  </si>
  <si>
    <t>5870 (11131)</t>
  </si>
  <si>
    <t>6420 (11684)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</si>
</sst>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mmm/\ yy;@"/>
    <numFmt numFmtId="165" formatCode="0.00_ ;[Red]\-0.00\ "/>
    <numFmt numFmtId="166" formatCode="0.0"/>
  </numFmts>
  <fonts count="10" x14ac:knownFonts="1">
    <font>
      <sz val="12"/>
      <color theme="1"/>
      <name val="Calibri"/>
      <family val="2"/>
      <scheme val="minor"/>
    </font>
    <font>
      <b/>
      <sz val="12"/>
      <color theme="1"/>
      <name val="Arial"/>
      <family val="2"/>
    </font>
    <font>
      <b/>
      <sz val="12"/>
      <name val="Arial"/>
      <family val="2"/>
    </font>
    <font>
      <sz val="12"/>
      <color theme="1"/>
      <name val="Arial"/>
      <family val="2"/>
    </font>
    <font>
      <sz val="12"/>
      <name val="Arial"/>
      <family val="2"/>
    </font>
    <font>
      <i/>
      <sz val="12"/>
      <color theme="1"/>
      <name val="Arial"/>
      <family val="2"/>
    </font>
    <font>
      <i/>
      <sz val="12"/>
      <name val="Arial"/>
      <family val="2"/>
    </font>
    <font>
      <b/>
      <i/>
      <sz val="12"/>
      <color theme="1"/>
      <name val="Arial"/>
      <family val="2"/>
    </font>
    <font>
      <sz val="11"/>
      <color theme="1"/>
      <name val="Arial"/>
      <family val="2"/>
    </font>
    <font>
      <sz val="12"/>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2" fontId="4"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2" fontId="4" fillId="0" borderId="2"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3"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0" fontId="6" fillId="0" borderId="1" xfId="0" applyFont="1" applyBorder="1" applyAlignment="1">
      <alignment horizontal="center" vertical="center"/>
    </xf>
    <xf numFmtId="1" fontId="5" fillId="0" borderId="3" xfId="0" applyNumberFormat="1" applyFont="1" applyBorder="1" applyAlignment="1">
      <alignment horizontal="center" vertical="center"/>
    </xf>
    <xf numFmtId="0" fontId="1" fillId="0" borderId="1" xfId="0" applyFont="1" applyBorder="1" applyAlignment="1">
      <alignment horizontal="center" vertical="center"/>
    </xf>
    <xf numFmtId="1"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0" fontId="3" fillId="0" borderId="0" xfId="0" applyFont="1" applyAlignment="1">
      <alignment horizontal="center" vertical="center"/>
    </xf>
    <xf numFmtId="0" fontId="9" fillId="0" borderId="0" xfId="0" applyFont="1" applyAlignment="1">
      <alignment horizontal="center" vertical="center"/>
    </xf>
    <xf numFmtId="2" fontId="3" fillId="0" borderId="0" xfId="0" applyNumberFormat="1" applyFont="1" applyAlignment="1">
      <alignment horizontal="center" vertical="center"/>
    </xf>
    <xf numFmtId="2" fontId="4" fillId="0" borderId="0" xfId="0" applyNumberFormat="1" applyFont="1" applyAlignment="1">
      <alignment horizontal="center" vertical="center"/>
    </xf>
    <xf numFmtId="1" fontId="4" fillId="0" borderId="0" xfId="0" applyNumberFormat="1" applyFont="1" applyAlignment="1">
      <alignment horizontal="center" vertical="center"/>
    </xf>
    <xf numFmtId="2"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1" fontId="3" fillId="0" borderId="5" xfId="0" applyNumberFormat="1" applyFont="1" applyBorder="1" applyAlignment="1">
      <alignment horizontal="center" vertical="center"/>
    </xf>
    <xf numFmtId="0" fontId="3" fillId="0" borderId="6" xfId="0" applyFont="1" applyBorder="1" applyAlignment="1">
      <alignment horizontal="center" vertical="center"/>
    </xf>
    <xf numFmtId="1" fontId="3" fillId="3" borderId="1" xfId="0" applyNumberFormat="1" applyFont="1" applyFill="1" applyBorder="1" applyAlignment="1">
      <alignment horizontal="center" vertical="center"/>
    </xf>
    <xf numFmtId="166" fontId="3" fillId="0" borderId="1" xfId="0" applyNumberFormat="1" applyFont="1" applyBorder="1" applyAlignment="1">
      <alignment horizontal="center" vertical="center"/>
    </xf>
    <xf numFmtId="1" fontId="1" fillId="0" borderId="2" xfId="0" applyNumberFormat="1" applyFont="1" applyBorder="1" applyAlignment="1">
      <alignment horizontal="center" vertical="center"/>
    </xf>
    <xf numFmtId="1" fontId="1" fillId="0" borderId="5" xfId="0" applyNumberFormat="1" applyFont="1" applyBorder="1" applyAlignment="1">
      <alignment horizontal="center" vertical="center"/>
    </xf>
    <xf numFmtId="0" fontId="4"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0" fillId="2" borderId="0" xfId="0" applyFill="1" applyAlignment="1">
      <alignment horizontal="center" vertical="center"/>
    </xf>
    <xf numFmtId="0" fontId="3" fillId="2" borderId="0" xfId="0" applyFont="1" applyFill="1" applyAlignment="1">
      <alignment horizontal="center" vertical="center"/>
    </xf>
    <xf numFmtId="165" fontId="3" fillId="2" borderId="0" xfId="0" applyNumberFormat="1" applyFont="1" applyFill="1" applyAlignment="1">
      <alignment horizontal="center" vertical="center"/>
    </xf>
    <xf numFmtId="165" fontId="1" fillId="2" borderId="0" xfId="0" applyNumberFormat="1" applyFont="1" applyFill="1" applyAlignment="1">
      <alignment horizontal="center" vertical="center"/>
    </xf>
    <xf numFmtId="2" fontId="3" fillId="2" borderId="0" xfId="0" applyNumberFormat="1"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DCE39-3DA1-EE4F-8C66-E7F51FE79FB4}">
  <dimension ref="A1:AC27"/>
  <sheetViews>
    <sheetView tabSelected="1" workbookViewId="0">
      <selection activeCell="E21" sqref="E21"/>
    </sheetView>
  </sheetViews>
  <sheetFormatPr baseColWidth="10" defaultRowHeight="16" x14ac:dyDescent="0.2"/>
  <cols>
    <col min="1" max="1" width="8.6640625" style="41" customWidth="1"/>
    <col min="2" max="4" width="10.83203125" style="41"/>
    <col min="5" max="5" width="16.5" style="41" bestFit="1" customWidth="1"/>
    <col min="6" max="10" width="10.83203125" style="41"/>
    <col min="11" max="11" width="13.6640625" style="41" customWidth="1"/>
    <col min="12" max="12" width="12.83203125" style="41" bestFit="1" customWidth="1"/>
    <col min="13" max="15" width="10.83203125" style="41"/>
    <col min="16" max="16" width="13.1640625" style="41" customWidth="1"/>
    <col min="17" max="17" width="10.83203125" style="41"/>
    <col min="18" max="18" width="12.6640625" style="41" customWidth="1"/>
    <col min="19" max="19" width="10.83203125" style="41"/>
    <col min="20" max="20" width="12.83203125" style="41" customWidth="1"/>
    <col min="21" max="21" width="12.1640625" style="41" customWidth="1"/>
    <col min="22" max="22" width="14.33203125" style="41" customWidth="1"/>
    <col min="23" max="23" width="13" style="41" customWidth="1"/>
    <col min="24" max="24" width="13.33203125" style="41" customWidth="1"/>
    <col min="25" max="26" width="13.1640625" style="41" customWidth="1"/>
    <col min="27" max="27" width="12.33203125" style="41" customWidth="1"/>
    <col min="28" max="29" width="10.83203125" style="41"/>
  </cols>
  <sheetData>
    <row r="1" spans="1:29" ht="51"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122</v>
      </c>
      <c r="R1" s="2" t="s">
        <v>16</v>
      </c>
      <c r="S1" s="1" t="s">
        <v>17</v>
      </c>
      <c r="T1" s="1" t="s">
        <v>18</v>
      </c>
      <c r="U1" s="1" t="s">
        <v>19</v>
      </c>
      <c r="V1" s="1" t="s">
        <v>20</v>
      </c>
      <c r="W1" s="1" t="s">
        <v>21</v>
      </c>
      <c r="X1" s="1" t="s">
        <v>22</v>
      </c>
      <c r="Y1" s="1" t="s">
        <v>23</v>
      </c>
      <c r="Z1" s="3" t="s">
        <v>24</v>
      </c>
      <c r="AA1" s="1" t="s">
        <v>25</v>
      </c>
      <c r="AB1" s="1" t="s">
        <v>26</v>
      </c>
      <c r="AC1" s="1" t="s">
        <v>27</v>
      </c>
    </row>
    <row r="2" spans="1:29" ht="17" x14ac:dyDescent="0.2">
      <c r="A2" s="4">
        <v>1</v>
      </c>
      <c r="B2" s="5" t="s">
        <v>28</v>
      </c>
      <c r="C2" s="5" t="s">
        <v>29</v>
      </c>
      <c r="D2" s="5" t="s">
        <v>30</v>
      </c>
      <c r="E2" s="5" t="s">
        <v>123</v>
      </c>
      <c r="F2" s="5">
        <v>623</v>
      </c>
      <c r="G2" s="5">
        <v>182</v>
      </c>
      <c r="H2" s="6">
        <f>G2/F2*100</f>
        <v>29.213483146067414</v>
      </c>
      <c r="I2" s="5">
        <v>143</v>
      </c>
      <c r="J2" s="6">
        <f t="shared" ref="J2:J26" si="0">I2/G2*100</f>
        <v>78.571428571428569</v>
      </c>
      <c r="K2" s="5" t="s">
        <v>31</v>
      </c>
      <c r="L2" s="7" t="s">
        <v>32</v>
      </c>
      <c r="M2" s="5">
        <v>8</v>
      </c>
      <c r="N2" s="5">
        <v>8</v>
      </c>
      <c r="O2" s="8">
        <f>N2/M2*100</f>
        <v>100</v>
      </c>
      <c r="P2" s="5">
        <v>4</v>
      </c>
      <c r="Q2" s="5">
        <v>4</v>
      </c>
      <c r="R2" s="5">
        <v>1</v>
      </c>
      <c r="S2" s="9" t="s">
        <v>33</v>
      </c>
      <c r="T2" s="9" t="s">
        <v>33</v>
      </c>
      <c r="U2" s="9" t="s">
        <v>33</v>
      </c>
      <c r="V2" s="9" t="s">
        <v>33</v>
      </c>
      <c r="W2" s="4">
        <f>F2/Q2</f>
        <v>155.75</v>
      </c>
      <c r="X2" s="8">
        <f>I2/4</f>
        <v>35.75</v>
      </c>
      <c r="Y2" s="9" t="s">
        <v>33</v>
      </c>
      <c r="Z2" s="10">
        <v>0</v>
      </c>
      <c r="AA2" s="5">
        <v>0</v>
      </c>
      <c r="AB2" s="5">
        <v>1</v>
      </c>
      <c r="AC2" s="8">
        <f>Q2/I2*100</f>
        <v>2.7972027972027971</v>
      </c>
    </row>
    <row r="3" spans="1:29" x14ac:dyDescent="0.2">
      <c r="A3" s="4">
        <v>2</v>
      </c>
      <c r="B3" s="11" t="s">
        <v>28</v>
      </c>
      <c r="C3" s="4" t="s">
        <v>34</v>
      </c>
      <c r="D3" s="12" t="s">
        <v>35</v>
      </c>
      <c r="E3" s="13" t="s">
        <v>124</v>
      </c>
      <c r="F3" s="14">
        <v>234</v>
      </c>
      <c r="G3" s="14">
        <v>73</v>
      </c>
      <c r="H3" s="6">
        <v>31.196581196581196</v>
      </c>
      <c r="I3" s="14">
        <v>63</v>
      </c>
      <c r="J3" s="15">
        <f>I3/G3*100</f>
        <v>86.301369863013704</v>
      </c>
      <c r="K3" s="7" t="s">
        <v>36</v>
      </c>
      <c r="L3" s="7" t="s">
        <v>37</v>
      </c>
      <c r="M3" s="16">
        <v>25</v>
      </c>
      <c r="N3" s="16">
        <v>13</v>
      </c>
      <c r="O3" s="8">
        <f>N3/M3*100</f>
        <v>52</v>
      </c>
      <c r="P3" s="16">
        <v>1</v>
      </c>
      <c r="Q3" s="16">
        <v>1</v>
      </c>
      <c r="R3" s="16">
        <v>1</v>
      </c>
      <c r="S3" s="4">
        <v>8830</v>
      </c>
      <c r="T3" s="16">
        <v>1929</v>
      </c>
      <c r="U3" s="16">
        <v>19</v>
      </c>
      <c r="V3" s="8">
        <f>U3/T3*100</f>
        <v>0.98496630378434413</v>
      </c>
      <c r="W3" s="4">
        <f>F3/Q3</f>
        <v>234</v>
      </c>
      <c r="X3" s="8">
        <f>I3/1</f>
        <v>63</v>
      </c>
      <c r="Y3" s="4">
        <f>S3/P3</f>
        <v>8830</v>
      </c>
      <c r="Z3" s="4">
        <v>0</v>
      </c>
      <c r="AA3" s="4">
        <v>0</v>
      </c>
      <c r="AB3" s="16">
        <v>1</v>
      </c>
      <c r="AC3" s="8">
        <f>Q3/I3*100</f>
        <v>1.5873015873015872</v>
      </c>
    </row>
    <row r="4" spans="1:29" x14ac:dyDescent="0.2">
      <c r="A4" s="4">
        <v>3</v>
      </c>
      <c r="B4" s="11" t="s">
        <v>28</v>
      </c>
      <c r="C4" s="4" t="s">
        <v>38</v>
      </c>
      <c r="D4" s="12" t="s">
        <v>39</v>
      </c>
      <c r="E4" s="12" t="s">
        <v>125</v>
      </c>
      <c r="F4" s="12">
        <f>108+134+142+154+167</f>
        <v>705</v>
      </c>
      <c r="G4" s="12">
        <v>182</v>
      </c>
      <c r="H4" s="6">
        <f>G4/F4*100</f>
        <v>25.815602836879432</v>
      </c>
      <c r="I4" s="4">
        <v>117</v>
      </c>
      <c r="J4" s="6">
        <f t="shared" si="0"/>
        <v>64.285714285714292</v>
      </c>
      <c r="K4" s="4" t="s">
        <v>40</v>
      </c>
      <c r="L4" s="17" t="s">
        <v>41</v>
      </c>
      <c r="M4" s="4">
        <v>18</v>
      </c>
      <c r="N4" s="4">
        <v>16</v>
      </c>
      <c r="O4" s="8">
        <f>N4/M4*100</f>
        <v>88.888888888888886</v>
      </c>
      <c r="P4" s="4">
        <v>2</v>
      </c>
      <c r="Q4" s="16">
        <v>2</v>
      </c>
      <c r="R4" s="4">
        <v>1</v>
      </c>
      <c r="S4" s="4">
        <v>14966</v>
      </c>
      <c r="T4" s="4">
        <v>395</v>
      </c>
      <c r="U4" s="4">
        <v>43</v>
      </c>
      <c r="V4" s="8">
        <f>U4/T4*100</f>
        <v>10.886075949367088</v>
      </c>
      <c r="W4" s="4">
        <f>F4/Q4</f>
        <v>352.5</v>
      </c>
      <c r="X4" s="8">
        <f>I4/2</f>
        <v>58.5</v>
      </c>
      <c r="Y4" s="4">
        <f>S4/P4</f>
        <v>7483</v>
      </c>
      <c r="Z4" s="4">
        <v>0</v>
      </c>
      <c r="AA4" s="4">
        <v>0</v>
      </c>
      <c r="AB4" s="4">
        <v>1</v>
      </c>
      <c r="AC4" s="8">
        <f>Q4/I4*100</f>
        <v>1.7094017094017095</v>
      </c>
    </row>
    <row r="5" spans="1:29" x14ac:dyDescent="0.2">
      <c r="A5" s="4">
        <v>4</v>
      </c>
      <c r="B5" s="11" t="s">
        <v>28</v>
      </c>
      <c r="C5" s="4" t="s">
        <v>42</v>
      </c>
      <c r="D5" s="12" t="s">
        <v>43</v>
      </c>
      <c r="E5" s="12" t="s">
        <v>126</v>
      </c>
      <c r="F5" s="12">
        <v>680</v>
      </c>
      <c r="G5" s="12">
        <v>91</v>
      </c>
      <c r="H5" s="6">
        <f>G5/F5*100</f>
        <v>13.382352941176471</v>
      </c>
      <c r="I5" s="4">
        <v>38</v>
      </c>
      <c r="J5" s="6">
        <f t="shared" si="0"/>
        <v>41.758241758241759</v>
      </c>
      <c r="K5" s="4" t="s">
        <v>44</v>
      </c>
      <c r="L5" s="7" t="s">
        <v>45</v>
      </c>
      <c r="M5" s="4">
        <v>15</v>
      </c>
      <c r="N5" s="4">
        <v>9</v>
      </c>
      <c r="O5" s="8">
        <f>N5/M5*100</f>
        <v>60</v>
      </c>
      <c r="P5" s="4">
        <v>0</v>
      </c>
      <c r="Q5" s="16">
        <f>P5</f>
        <v>0</v>
      </c>
      <c r="R5" s="18" t="s">
        <v>46</v>
      </c>
      <c r="S5" s="4">
        <v>8772</v>
      </c>
      <c r="T5" s="18" t="s">
        <v>46</v>
      </c>
      <c r="U5" s="18" t="s">
        <v>46</v>
      </c>
      <c r="V5" s="18" t="s">
        <v>46</v>
      </c>
      <c r="W5" s="18" t="s">
        <v>46</v>
      </c>
      <c r="X5" s="18" t="s">
        <v>46</v>
      </c>
      <c r="Y5" s="18" t="s">
        <v>46</v>
      </c>
      <c r="Z5" s="18" t="s">
        <v>46</v>
      </c>
      <c r="AA5" s="18" t="s">
        <v>46</v>
      </c>
      <c r="AB5" s="18" t="s">
        <v>46</v>
      </c>
      <c r="AC5" s="8">
        <f>P5/I5*100</f>
        <v>0</v>
      </c>
    </row>
    <row r="6" spans="1:29" x14ac:dyDescent="0.2">
      <c r="A6" s="4">
        <v>5</v>
      </c>
      <c r="B6" s="11" t="s">
        <v>28</v>
      </c>
      <c r="C6" s="12" t="s">
        <v>47</v>
      </c>
      <c r="D6" s="12" t="s">
        <v>48</v>
      </c>
      <c r="E6" s="13" t="s">
        <v>127</v>
      </c>
      <c r="F6" s="14">
        <v>922</v>
      </c>
      <c r="G6" s="14">
        <v>96</v>
      </c>
      <c r="H6" s="6">
        <f t="shared" ref="H6:H12" si="1">G6/F6*100</f>
        <v>10.412147505422993</v>
      </c>
      <c r="I6" s="16">
        <v>65</v>
      </c>
      <c r="J6" s="6">
        <f t="shared" si="0"/>
        <v>67.708333333333343</v>
      </c>
      <c r="K6" s="7" t="s">
        <v>49</v>
      </c>
      <c r="L6" s="7" t="s">
        <v>50</v>
      </c>
      <c r="M6" s="16">
        <v>18</v>
      </c>
      <c r="N6" s="16">
        <v>15</v>
      </c>
      <c r="O6" s="8">
        <f t="shared" ref="O6:O12" si="2">N6/M6*100</f>
        <v>83.333333333333343</v>
      </c>
      <c r="P6" s="16" t="s">
        <v>51</v>
      </c>
      <c r="Q6" s="16" t="str">
        <f t="shared" ref="Q6:Q7" si="3">P6</f>
        <v>0</v>
      </c>
      <c r="R6" s="18" t="s">
        <v>46</v>
      </c>
      <c r="S6" s="16">
        <v>6631</v>
      </c>
      <c r="T6" s="18" t="s">
        <v>46</v>
      </c>
      <c r="U6" s="18" t="s">
        <v>46</v>
      </c>
      <c r="V6" s="18" t="s">
        <v>46</v>
      </c>
      <c r="W6" s="18" t="s">
        <v>46</v>
      </c>
      <c r="X6" s="18" t="s">
        <v>46</v>
      </c>
      <c r="Y6" s="18" t="s">
        <v>46</v>
      </c>
      <c r="Z6" s="18" t="s">
        <v>46</v>
      </c>
      <c r="AA6" s="18" t="s">
        <v>46</v>
      </c>
      <c r="AB6" s="18" t="s">
        <v>46</v>
      </c>
      <c r="AC6" s="8">
        <f>P6/I6*100</f>
        <v>0</v>
      </c>
    </row>
    <row r="7" spans="1:29" ht="34" x14ac:dyDescent="0.2">
      <c r="A7" s="4">
        <v>6</v>
      </c>
      <c r="B7" s="11" t="s">
        <v>28</v>
      </c>
      <c r="C7" s="10" t="s">
        <v>52</v>
      </c>
      <c r="D7" s="12" t="s">
        <v>48</v>
      </c>
      <c r="E7" s="13" t="s">
        <v>127</v>
      </c>
      <c r="F7" s="14">
        <v>599</v>
      </c>
      <c r="G7" s="14">
        <v>145</v>
      </c>
      <c r="H7" s="6">
        <f t="shared" si="1"/>
        <v>24.207011686143574</v>
      </c>
      <c r="I7" s="16">
        <v>85</v>
      </c>
      <c r="J7" s="6">
        <f t="shared" si="0"/>
        <v>58.620689655172406</v>
      </c>
      <c r="K7" s="16" t="s">
        <v>53</v>
      </c>
      <c r="L7" s="16" t="s">
        <v>54</v>
      </c>
      <c r="M7" s="16">
        <v>11</v>
      </c>
      <c r="N7" s="16">
        <v>11</v>
      </c>
      <c r="O7" s="8">
        <f t="shared" si="2"/>
        <v>100</v>
      </c>
      <c r="P7" s="16">
        <v>0</v>
      </c>
      <c r="Q7" s="16">
        <f t="shared" si="3"/>
        <v>0</v>
      </c>
      <c r="R7" s="18" t="s">
        <v>46</v>
      </c>
      <c r="S7" s="16">
        <v>18721</v>
      </c>
      <c r="T7" s="18" t="s">
        <v>46</v>
      </c>
      <c r="U7" s="18" t="s">
        <v>46</v>
      </c>
      <c r="V7" s="18" t="s">
        <v>46</v>
      </c>
      <c r="W7" s="18" t="s">
        <v>46</v>
      </c>
      <c r="X7" s="18" t="s">
        <v>46</v>
      </c>
      <c r="Y7" s="18" t="s">
        <v>46</v>
      </c>
      <c r="Z7" s="18" t="s">
        <v>46</v>
      </c>
      <c r="AA7" s="18" t="s">
        <v>46</v>
      </c>
      <c r="AB7" s="18" t="s">
        <v>46</v>
      </c>
      <c r="AC7" s="8">
        <f>P7/I7*100</f>
        <v>0</v>
      </c>
    </row>
    <row r="8" spans="1:29" x14ac:dyDescent="0.2">
      <c r="A8" s="4">
        <v>7</v>
      </c>
      <c r="B8" s="4" t="s">
        <v>28</v>
      </c>
      <c r="C8" s="4" t="s">
        <v>29</v>
      </c>
      <c r="D8" s="12" t="s">
        <v>55</v>
      </c>
      <c r="E8" s="12" t="s">
        <v>128</v>
      </c>
      <c r="F8" s="12">
        <v>1113</v>
      </c>
      <c r="G8" s="12">
        <v>474</v>
      </c>
      <c r="H8" s="6">
        <f t="shared" si="1"/>
        <v>42.587601078167111</v>
      </c>
      <c r="I8" s="4">
        <v>362</v>
      </c>
      <c r="J8" s="6">
        <f t="shared" si="0"/>
        <v>76.371308016877634</v>
      </c>
      <c r="K8" s="12" t="s">
        <v>56</v>
      </c>
      <c r="L8" s="12" t="s">
        <v>57</v>
      </c>
      <c r="M8" s="12">
        <v>26</v>
      </c>
      <c r="N8" s="12">
        <v>26</v>
      </c>
      <c r="O8" s="6">
        <f t="shared" si="2"/>
        <v>100</v>
      </c>
      <c r="P8" s="12">
        <v>2</v>
      </c>
      <c r="Q8" s="16">
        <v>2</v>
      </c>
      <c r="R8" s="19" t="s">
        <v>58</v>
      </c>
      <c r="S8" s="4">
        <v>93998</v>
      </c>
      <c r="T8" s="4">
        <v>6610</v>
      </c>
      <c r="U8" s="4">
        <v>14</v>
      </c>
      <c r="V8" s="8">
        <f>U8/S8*100</f>
        <v>1.4893933913487522E-2</v>
      </c>
      <c r="W8" s="4">
        <f>F8/Q8</f>
        <v>556.5</v>
      </c>
      <c r="X8" s="8">
        <f>I8/2</f>
        <v>181</v>
      </c>
      <c r="Y8" s="4">
        <f>S8/P8</f>
        <v>46999</v>
      </c>
      <c r="Z8" s="4" t="s">
        <v>59</v>
      </c>
      <c r="AA8" s="4">
        <v>0</v>
      </c>
      <c r="AB8" s="19" t="s">
        <v>58</v>
      </c>
      <c r="AC8" s="8">
        <f t="shared" ref="AC8:AC14" si="4">Q8/I8*100</f>
        <v>0.55248618784530379</v>
      </c>
    </row>
    <row r="9" spans="1:29" ht="17" x14ac:dyDescent="0.2">
      <c r="A9" s="4">
        <v>8</v>
      </c>
      <c r="B9" s="4" t="s">
        <v>28</v>
      </c>
      <c r="C9" s="12" t="s">
        <v>34</v>
      </c>
      <c r="D9" s="4" t="s">
        <v>60</v>
      </c>
      <c r="E9" s="10" t="s">
        <v>129</v>
      </c>
      <c r="F9" s="16">
        <v>257</v>
      </c>
      <c r="G9" s="16">
        <v>47</v>
      </c>
      <c r="H9" s="8">
        <f t="shared" si="1"/>
        <v>18.28793774319066</v>
      </c>
      <c r="I9" s="14">
        <v>30</v>
      </c>
      <c r="J9" s="6">
        <f t="shared" si="0"/>
        <v>63.829787234042556</v>
      </c>
      <c r="K9" s="7" t="s">
        <v>61</v>
      </c>
      <c r="L9" s="7" t="s">
        <v>62</v>
      </c>
      <c r="M9" s="16">
        <v>9</v>
      </c>
      <c r="N9" s="16">
        <v>9</v>
      </c>
      <c r="O9" s="8">
        <f t="shared" si="2"/>
        <v>100</v>
      </c>
      <c r="P9" s="16">
        <v>2</v>
      </c>
      <c r="Q9" s="16">
        <v>2</v>
      </c>
      <c r="R9" s="16">
        <v>1</v>
      </c>
      <c r="S9" s="16">
        <v>5185</v>
      </c>
      <c r="T9" s="16">
        <v>1558</v>
      </c>
      <c r="U9" s="16" t="s">
        <v>63</v>
      </c>
      <c r="V9" s="8">
        <f>U9/S9*100</f>
        <v>2.9701060752169721</v>
      </c>
      <c r="W9" s="4">
        <f>F9/Q9</f>
        <v>128.5</v>
      </c>
      <c r="X9" s="8">
        <f>I9/2</f>
        <v>15</v>
      </c>
      <c r="Y9" s="4">
        <f>S9/P9</f>
        <v>2592.5</v>
      </c>
      <c r="Z9" s="16" t="s">
        <v>64</v>
      </c>
      <c r="AA9" s="16">
        <v>50</v>
      </c>
      <c r="AB9" s="16">
        <v>2</v>
      </c>
      <c r="AC9" s="8">
        <f t="shared" si="4"/>
        <v>6.666666666666667</v>
      </c>
    </row>
    <row r="10" spans="1:29" ht="17" x14ac:dyDescent="0.2">
      <c r="A10" s="4">
        <v>9</v>
      </c>
      <c r="B10" s="4" t="s">
        <v>28</v>
      </c>
      <c r="C10" s="12" t="s">
        <v>42</v>
      </c>
      <c r="D10" s="4" t="s">
        <v>60</v>
      </c>
      <c r="E10" s="10" t="s">
        <v>129</v>
      </c>
      <c r="F10" s="16">
        <v>192</v>
      </c>
      <c r="G10" s="16">
        <v>65</v>
      </c>
      <c r="H10" s="8">
        <f t="shared" si="1"/>
        <v>33.854166666666671</v>
      </c>
      <c r="I10" s="14">
        <v>40</v>
      </c>
      <c r="J10" s="6">
        <f t="shared" si="0"/>
        <v>61.53846153846154</v>
      </c>
      <c r="K10" s="7" t="s">
        <v>65</v>
      </c>
      <c r="L10" s="7" t="s">
        <v>66</v>
      </c>
      <c r="M10" s="16">
        <v>11</v>
      </c>
      <c r="N10" s="16">
        <v>7</v>
      </c>
      <c r="O10" s="8">
        <f t="shared" si="2"/>
        <v>63.636363636363633</v>
      </c>
      <c r="P10" s="16">
        <v>0</v>
      </c>
      <c r="Q10" s="16">
        <f t="shared" ref="Q10:Q14" si="5">P10</f>
        <v>0</v>
      </c>
      <c r="R10" s="18" t="s">
        <v>46</v>
      </c>
      <c r="S10" s="16">
        <v>2679</v>
      </c>
      <c r="T10" s="18" t="s">
        <v>46</v>
      </c>
      <c r="U10" s="18" t="s">
        <v>46</v>
      </c>
      <c r="V10" s="18" t="s">
        <v>46</v>
      </c>
      <c r="W10" s="18" t="s">
        <v>46</v>
      </c>
      <c r="X10" s="18" t="s">
        <v>46</v>
      </c>
      <c r="Y10" s="18" t="s">
        <v>46</v>
      </c>
      <c r="Z10" s="18" t="s">
        <v>46</v>
      </c>
      <c r="AA10" s="18" t="s">
        <v>46</v>
      </c>
      <c r="AB10" s="18" t="s">
        <v>46</v>
      </c>
      <c r="AC10" s="8">
        <f t="shared" si="4"/>
        <v>0</v>
      </c>
    </row>
    <row r="11" spans="1:29" ht="17" x14ac:dyDescent="0.2">
      <c r="A11" s="4">
        <v>10</v>
      </c>
      <c r="B11" s="4" t="s">
        <v>28</v>
      </c>
      <c r="C11" s="12" t="s">
        <v>34</v>
      </c>
      <c r="D11" s="4" t="s">
        <v>60</v>
      </c>
      <c r="E11" s="10" t="s">
        <v>129</v>
      </c>
      <c r="F11" s="16">
        <v>399</v>
      </c>
      <c r="G11" s="16">
        <v>54</v>
      </c>
      <c r="H11" s="8">
        <f t="shared" si="1"/>
        <v>13.533834586466165</v>
      </c>
      <c r="I11" s="16">
        <v>33</v>
      </c>
      <c r="J11" s="6">
        <f t="shared" si="0"/>
        <v>61.111111111111114</v>
      </c>
      <c r="K11" s="7" t="s">
        <v>67</v>
      </c>
      <c r="L11" s="7" t="s">
        <v>68</v>
      </c>
      <c r="M11" s="16">
        <v>13</v>
      </c>
      <c r="N11" s="16">
        <v>6</v>
      </c>
      <c r="O11" s="8">
        <f t="shared" si="2"/>
        <v>46.153846153846153</v>
      </c>
      <c r="P11" s="16" t="s">
        <v>51</v>
      </c>
      <c r="Q11" s="16" t="str">
        <f t="shared" si="5"/>
        <v>0</v>
      </c>
      <c r="R11" s="20" t="s">
        <v>46</v>
      </c>
      <c r="S11" s="16">
        <v>1313</v>
      </c>
      <c r="T11" s="18" t="s">
        <v>46</v>
      </c>
      <c r="U11" s="18" t="s">
        <v>46</v>
      </c>
      <c r="V11" s="18" t="s">
        <v>46</v>
      </c>
      <c r="W11" s="18" t="s">
        <v>46</v>
      </c>
      <c r="X11" s="18" t="s">
        <v>46</v>
      </c>
      <c r="Y11" s="18" t="s">
        <v>46</v>
      </c>
      <c r="Z11" s="18" t="s">
        <v>46</v>
      </c>
      <c r="AA11" s="18" t="s">
        <v>46</v>
      </c>
      <c r="AB11" s="18" t="s">
        <v>46</v>
      </c>
      <c r="AC11" s="8">
        <f t="shared" si="4"/>
        <v>0</v>
      </c>
    </row>
    <row r="12" spans="1:29" ht="17" x14ac:dyDescent="0.2">
      <c r="A12" s="4">
        <v>11</v>
      </c>
      <c r="B12" s="4" t="s">
        <v>28</v>
      </c>
      <c r="C12" s="12" t="s">
        <v>34</v>
      </c>
      <c r="D12" s="4" t="s">
        <v>60</v>
      </c>
      <c r="E12" s="10" t="s">
        <v>129</v>
      </c>
      <c r="F12" s="16">
        <v>462</v>
      </c>
      <c r="G12" s="16">
        <v>68</v>
      </c>
      <c r="H12" s="8">
        <f t="shared" si="1"/>
        <v>14.71861471861472</v>
      </c>
      <c r="I12" s="16">
        <v>33</v>
      </c>
      <c r="J12" s="6">
        <f t="shared" si="0"/>
        <v>48.529411764705884</v>
      </c>
      <c r="K12" s="7" t="s">
        <v>69</v>
      </c>
      <c r="L12" s="7" t="s">
        <v>70</v>
      </c>
      <c r="M12" s="16">
        <v>7</v>
      </c>
      <c r="N12" s="16">
        <v>7</v>
      </c>
      <c r="O12" s="8">
        <f t="shared" si="2"/>
        <v>100</v>
      </c>
      <c r="P12" s="16">
        <v>2</v>
      </c>
      <c r="Q12" s="16">
        <f t="shared" si="5"/>
        <v>2</v>
      </c>
      <c r="R12" s="16">
        <v>1</v>
      </c>
      <c r="S12" s="16">
        <v>1389</v>
      </c>
      <c r="T12" s="16">
        <v>150</v>
      </c>
      <c r="U12" s="16">
        <v>6</v>
      </c>
      <c r="V12" s="8">
        <f>U12/S12*100</f>
        <v>0.43196544276457888</v>
      </c>
      <c r="W12" s="4">
        <f>F12/Q12</f>
        <v>231</v>
      </c>
      <c r="X12" s="8">
        <f>I12/2</f>
        <v>16.5</v>
      </c>
      <c r="Y12" s="4">
        <f>S12/P12</f>
        <v>694.5</v>
      </c>
      <c r="Z12" s="16" t="s">
        <v>64</v>
      </c>
      <c r="AA12" s="16">
        <v>50</v>
      </c>
      <c r="AB12" s="16">
        <v>1</v>
      </c>
      <c r="AC12" s="8">
        <f t="shared" si="4"/>
        <v>6.0606060606060606</v>
      </c>
    </row>
    <row r="13" spans="1:29" x14ac:dyDescent="0.2">
      <c r="A13" s="21">
        <v>12</v>
      </c>
      <c r="B13" s="21" t="s">
        <v>28</v>
      </c>
      <c r="C13" s="21" t="s">
        <v>71</v>
      </c>
      <c r="D13" s="21" t="s">
        <v>72</v>
      </c>
      <c r="E13" s="21" t="s">
        <v>130</v>
      </c>
      <c r="F13" s="22">
        <f>107+150</f>
        <v>257</v>
      </c>
      <c r="G13" s="22">
        <v>15</v>
      </c>
      <c r="H13" s="23">
        <f>G13/F13*100</f>
        <v>5.836575875486381</v>
      </c>
      <c r="I13" s="22">
        <v>9</v>
      </c>
      <c r="J13" s="24">
        <f t="shared" si="0"/>
        <v>60</v>
      </c>
      <c r="K13" s="22" t="s">
        <v>73</v>
      </c>
      <c r="L13" s="22" t="s">
        <v>74</v>
      </c>
      <c r="M13" s="22">
        <v>7</v>
      </c>
      <c r="N13" s="22">
        <v>3</v>
      </c>
      <c r="O13" s="23">
        <f>N13/M13*100</f>
        <v>42.857142857142854</v>
      </c>
      <c r="P13" s="22">
        <v>0</v>
      </c>
      <c r="Q13" s="22">
        <f t="shared" si="5"/>
        <v>0</v>
      </c>
      <c r="R13" s="25" t="s">
        <v>46</v>
      </c>
      <c r="S13" s="21">
        <v>502</v>
      </c>
      <c r="T13" s="25" t="s">
        <v>46</v>
      </c>
      <c r="U13" s="25" t="s">
        <v>46</v>
      </c>
      <c r="V13" s="25" t="s">
        <v>46</v>
      </c>
      <c r="W13" s="25" t="s">
        <v>46</v>
      </c>
      <c r="X13" s="25" t="s">
        <v>46</v>
      </c>
      <c r="Y13" s="25" t="s">
        <v>46</v>
      </c>
      <c r="Z13" s="25" t="s">
        <v>46</v>
      </c>
      <c r="AA13" s="25" t="s">
        <v>46</v>
      </c>
      <c r="AB13" s="25" t="s">
        <v>46</v>
      </c>
      <c r="AC13" s="23">
        <f t="shared" si="4"/>
        <v>0</v>
      </c>
    </row>
    <row r="14" spans="1:29" x14ac:dyDescent="0.2">
      <c r="A14" s="21">
        <v>13</v>
      </c>
      <c r="B14" s="21" t="s">
        <v>28</v>
      </c>
      <c r="C14" s="21" t="s">
        <v>75</v>
      </c>
      <c r="D14" s="21" t="s">
        <v>72</v>
      </c>
      <c r="E14" s="21" t="s">
        <v>130</v>
      </c>
      <c r="F14" s="22">
        <f>23+125</f>
        <v>148</v>
      </c>
      <c r="G14" s="22">
        <v>8</v>
      </c>
      <c r="H14" s="23">
        <f>G14/F14*100</f>
        <v>5.4054054054054053</v>
      </c>
      <c r="I14" s="22">
        <v>5</v>
      </c>
      <c r="J14" s="24">
        <f t="shared" si="0"/>
        <v>62.5</v>
      </c>
      <c r="K14" s="22" t="s">
        <v>76</v>
      </c>
      <c r="L14" s="22" t="s">
        <v>74</v>
      </c>
      <c r="M14" s="22">
        <v>4</v>
      </c>
      <c r="N14" s="22">
        <v>3</v>
      </c>
      <c r="O14" s="23">
        <f>N14/M14*100</f>
        <v>75</v>
      </c>
      <c r="P14" s="22">
        <v>0</v>
      </c>
      <c r="Q14" s="22">
        <f t="shared" si="5"/>
        <v>0</v>
      </c>
      <c r="R14" s="25" t="s">
        <v>46</v>
      </c>
      <c r="S14" s="21">
        <v>382</v>
      </c>
      <c r="T14" s="25" t="s">
        <v>46</v>
      </c>
      <c r="U14" s="25" t="s">
        <v>46</v>
      </c>
      <c r="V14" s="25" t="s">
        <v>46</v>
      </c>
      <c r="W14" s="25" t="s">
        <v>46</v>
      </c>
      <c r="X14" s="25" t="s">
        <v>46</v>
      </c>
      <c r="Y14" s="25" t="s">
        <v>46</v>
      </c>
      <c r="Z14" s="25" t="s">
        <v>46</v>
      </c>
      <c r="AA14" s="25" t="s">
        <v>46</v>
      </c>
      <c r="AB14" s="25" t="s">
        <v>46</v>
      </c>
      <c r="AC14" s="23">
        <f t="shared" si="4"/>
        <v>0</v>
      </c>
    </row>
    <row r="15" spans="1:29" x14ac:dyDescent="0.2">
      <c r="A15" s="42" t="s">
        <v>77</v>
      </c>
      <c r="B15" s="43"/>
      <c r="C15" s="43"/>
      <c r="D15" s="43"/>
      <c r="E15" s="43"/>
      <c r="F15" s="44"/>
      <c r="G15" s="44"/>
      <c r="H15" s="44">
        <f t="shared" ref="H15:O15" si="6">AVERAGE(H2:H14)</f>
        <v>20.650101183559091</v>
      </c>
      <c r="I15" s="44"/>
      <c r="J15" s="44">
        <f t="shared" si="6"/>
        <v>63.93275824093098</v>
      </c>
      <c r="K15" s="44"/>
      <c r="L15" s="44"/>
      <c r="M15" s="44"/>
      <c r="N15" s="44"/>
      <c r="O15" s="44">
        <f t="shared" si="6"/>
        <v>77.836121143813457</v>
      </c>
      <c r="P15" s="44"/>
      <c r="Q15" s="44"/>
      <c r="R15" s="43"/>
      <c r="S15" s="44"/>
      <c r="T15" s="45"/>
      <c r="U15" s="44"/>
      <c r="V15" s="44">
        <f>AVERAGE(V2:V14)</f>
        <v>3.0576015410092938</v>
      </c>
      <c r="W15" s="44">
        <f>AVERAGE(W2:W14)</f>
        <v>276.375</v>
      </c>
      <c r="X15" s="46">
        <f>AVERAGE(X2:X4,X8,X9,X12)</f>
        <v>61.625</v>
      </c>
      <c r="Y15" s="44">
        <f>AVERAGE(Y2:Y14)</f>
        <v>13319.8</v>
      </c>
      <c r="Z15" s="44"/>
      <c r="AA15" s="44">
        <f>AVERAGE(AA2:AA14)</f>
        <v>16.666666666666668</v>
      </c>
      <c r="AB15" s="44">
        <f>AVERAGE(AB2:AB14)</f>
        <v>1.2</v>
      </c>
      <c r="AC15" s="44">
        <f>AVERAGE(AC2:AC14)</f>
        <v>1.4902819237710863</v>
      </c>
    </row>
    <row r="16" spans="1:29" x14ac:dyDescent="0.2">
      <c r="A16" s="40" t="s">
        <v>78</v>
      </c>
      <c r="B16" s="26"/>
      <c r="C16" s="27"/>
      <c r="D16" s="27"/>
      <c r="E16" s="26"/>
      <c r="F16" s="26"/>
      <c r="G16" s="26"/>
      <c r="H16" s="28"/>
      <c r="I16" s="26"/>
      <c r="J16" s="29"/>
      <c r="K16" s="39"/>
      <c r="L16" s="39"/>
      <c r="M16" s="39"/>
      <c r="N16" s="39"/>
      <c r="O16" s="29"/>
      <c r="P16" s="39"/>
      <c r="Q16" s="39"/>
      <c r="S16" s="26"/>
      <c r="T16" s="26"/>
      <c r="U16" s="26"/>
      <c r="V16" s="28"/>
      <c r="W16" s="26"/>
      <c r="X16" s="28"/>
      <c r="Y16" s="26"/>
      <c r="Z16" s="26"/>
      <c r="AA16" s="26"/>
      <c r="AB16" s="39"/>
      <c r="AC16" s="30"/>
    </row>
    <row r="17" spans="1:29" x14ac:dyDescent="0.2">
      <c r="A17" s="26"/>
      <c r="B17" s="26"/>
      <c r="C17" s="26"/>
      <c r="D17" s="26"/>
      <c r="E17" s="26"/>
      <c r="F17" s="26"/>
      <c r="G17" s="26"/>
      <c r="H17" s="28"/>
      <c r="I17" s="26"/>
      <c r="J17" s="29"/>
      <c r="K17" s="26"/>
      <c r="L17" s="26"/>
      <c r="M17" s="26"/>
      <c r="N17" s="26"/>
      <c r="O17" s="28"/>
      <c r="P17" s="26"/>
      <c r="Q17" s="26"/>
      <c r="S17" s="26"/>
      <c r="T17" s="26"/>
      <c r="U17" s="26"/>
      <c r="V17" s="28"/>
      <c r="W17" s="26"/>
      <c r="X17" s="26"/>
      <c r="Y17" s="26"/>
      <c r="Z17" s="26"/>
      <c r="AA17" s="26"/>
      <c r="AB17" s="26"/>
      <c r="AC17" s="26"/>
    </row>
    <row r="18" spans="1:29" x14ac:dyDescent="0.2">
      <c r="A18" s="4">
        <v>14</v>
      </c>
      <c r="B18" s="4" t="s">
        <v>79</v>
      </c>
      <c r="C18" s="4" t="s">
        <v>80</v>
      </c>
      <c r="D18" s="4" t="s">
        <v>81</v>
      </c>
      <c r="E18" s="12" t="s">
        <v>131</v>
      </c>
      <c r="F18" s="16">
        <v>113</v>
      </c>
      <c r="G18" s="16">
        <v>13</v>
      </c>
      <c r="H18" s="8">
        <f t="shared" ref="H18:H23" si="7">G18/F18*100</f>
        <v>11.504424778761061</v>
      </c>
      <c r="I18" s="16">
        <v>6</v>
      </c>
      <c r="J18" s="31">
        <f t="shared" si="0"/>
        <v>46.153846153846153</v>
      </c>
      <c r="K18" s="16" t="s">
        <v>82</v>
      </c>
      <c r="L18" s="16">
        <v>1</v>
      </c>
      <c r="M18" s="16">
        <v>6</v>
      </c>
      <c r="N18" s="16">
        <v>3</v>
      </c>
      <c r="O18" s="8">
        <f t="shared" ref="O18:O23" si="8">N18/M18*100</f>
        <v>50</v>
      </c>
      <c r="P18" s="16">
        <v>1</v>
      </c>
      <c r="Q18" s="16" t="s">
        <v>83</v>
      </c>
      <c r="R18" s="16">
        <v>4</v>
      </c>
      <c r="S18" s="4">
        <v>370</v>
      </c>
      <c r="T18" s="16">
        <v>117</v>
      </c>
      <c r="U18" s="16">
        <v>25</v>
      </c>
      <c r="V18" s="8">
        <f t="shared" ref="V18:V26" si="9">U18/T18*100</f>
        <v>21.367521367521366</v>
      </c>
      <c r="W18" s="4">
        <f>F18/4</f>
        <v>28.25</v>
      </c>
      <c r="X18" s="4">
        <f>6/4</f>
        <v>1.5</v>
      </c>
      <c r="Y18" s="4">
        <f t="shared" ref="Y18:Y23" si="10">S18/P18</f>
        <v>370</v>
      </c>
      <c r="Z18" s="16" t="s">
        <v>84</v>
      </c>
      <c r="AA18" s="16">
        <f>1/4*100</f>
        <v>25</v>
      </c>
      <c r="AB18" s="32">
        <v>4</v>
      </c>
      <c r="AC18" s="8">
        <f>4/I18*100</f>
        <v>66.666666666666657</v>
      </c>
    </row>
    <row r="19" spans="1:29" x14ac:dyDescent="0.2">
      <c r="A19" s="4">
        <v>15</v>
      </c>
      <c r="B19" s="4" t="s">
        <v>79</v>
      </c>
      <c r="C19" s="4" t="s">
        <v>80</v>
      </c>
      <c r="D19" s="4" t="s">
        <v>85</v>
      </c>
      <c r="E19" s="12" t="s">
        <v>132</v>
      </c>
      <c r="F19" s="16">
        <f>182+116</f>
        <v>298</v>
      </c>
      <c r="G19" s="16">
        <v>15</v>
      </c>
      <c r="H19" s="8">
        <f t="shared" si="7"/>
        <v>5.0335570469798654</v>
      </c>
      <c r="I19" s="16">
        <v>11</v>
      </c>
      <c r="J19" s="8">
        <f t="shared" si="0"/>
        <v>73.333333333333329</v>
      </c>
      <c r="K19" s="16" t="s">
        <v>86</v>
      </c>
      <c r="L19" s="16">
        <v>1</v>
      </c>
      <c r="M19" s="16">
        <v>11</v>
      </c>
      <c r="N19" s="16">
        <v>4</v>
      </c>
      <c r="O19" s="8">
        <f t="shared" si="8"/>
        <v>36.363636363636367</v>
      </c>
      <c r="P19" s="16">
        <v>2</v>
      </c>
      <c r="Q19" s="16" t="s">
        <v>87</v>
      </c>
      <c r="R19" s="33" t="s">
        <v>88</v>
      </c>
      <c r="S19" s="4">
        <v>514</v>
      </c>
      <c r="T19" s="16">
        <f>83+96</f>
        <v>179</v>
      </c>
      <c r="U19" s="16">
        <f>29+22</f>
        <v>51</v>
      </c>
      <c r="V19" s="8">
        <f t="shared" si="9"/>
        <v>28.491620111731841</v>
      </c>
      <c r="W19" s="8">
        <f>F19/7</f>
        <v>42.571428571428569</v>
      </c>
      <c r="X19" s="8">
        <f>I19/7</f>
        <v>1.5714285714285714</v>
      </c>
      <c r="Y19" s="4">
        <f t="shared" si="10"/>
        <v>257</v>
      </c>
      <c r="Z19" s="16" t="s">
        <v>89</v>
      </c>
      <c r="AA19" s="16">
        <f>6/7*100</f>
        <v>85.714285714285708</v>
      </c>
      <c r="AB19" s="32">
        <v>6</v>
      </c>
      <c r="AC19" s="8">
        <f>7/I19*100</f>
        <v>63.636363636363633</v>
      </c>
    </row>
    <row r="20" spans="1:29" x14ac:dyDescent="0.2">
      <c r="A20" s="4">
        <v>16</v>
      </c>
      <c r="B20" s="11" t="s">
        <v>79</v>
      </c>
      <c r="C20" s="4" t="s">
        <v>71</v>
      </c>
      <c r="D20" s="11" t="s">
        <v>90</v>
      </c>
      <c r="E20" s="4" t="s">
        <v>133</v>
      </c>
      <c r="F20" s="16">
        <v>576</v>
      </c>
      <c r="G20" s="16">
        <v>180</v>
      </c>
      <c r="H20" s="8">
        <f t="shared" si="7"/>
        <v>31.25</v>
      </c>
      <c r="I20" s="16">
        <v>156</v>
      </c>
      <c r="J20" s="8">
        <f t="shared" si="0"/>
        <v>86.666666666666671</v>
      </c>
      <c r="K20" s="16" t="s">
        <v>91</v>
      </c>
      <c r="L20" s="16" t="s">
        <v>92</v>
      </c>
      <c r="M20" s="16">
        <v>12</v>
      </c>
      <c r="N20" s="16">
        <v>12</v>
      </c>
      <c r="O20" s="8">
        <f t="shared" si="8"/>
        <v>100</v>
      </c>
      <c r="P20" s="16" t="s">
        <v>93</v>
      </c>
      <c r="Q20" s="16" t="s">
        <v>94</v>
      </c>
      <c r="R20" s="33" t="s">
        <v>95</v>
      </c>
      <c r="S20" s="4">
        <v>4388</v>
      </c>
      <c r="T20" s="16">
        <v>4213</v>
      </c>
      <c r="U20" s="16">
        <v>128</v>
      </c>
      <c r="V20" s="8">
        <f t="shared" si="9"/>
        <v>3.038215048658913</v>
      </c>
      <c r="W20" s="4">
        <f>F20/19</f>
        <v>30.315789473684209</v>
      </c>
      <c r="X20" s="8">
        <f>I20/19</f>
        <v>8.2105263157894743</v>
      </c>
      <c r="Y20" s="8">
        <f t="shared" si="10"/>
        <v>398.90909090909093</v>
      </c>
      <c r="Z20" s="4" t="s">
        <v>96</v>
      </c>
      <c r="AA20" s="8">
        <f>12/19*100</f>
        <v>63.157894736842103</v>
      </c>
      <c r="AB20" s="32">
        <v>2</v>
      </c>
      <c r="AC20" s="8">
        <f>19/I20*100</f>
        <v>12.179487179487179</v>
      </c>
    </row>
    <row r="21" spans="1:29" x14ac:dyDescent="0.2">
      <c r="A21" s="4">
        <v>17</v>
      </c>
      <c r="B21" s="11" t="s">
        <v>79</v>
      </c>
      <c r="C21" s="4" t="s">
        <v>71</v>
      </c>
      <c r="D21" s="11" t="s">
        <v>97</v>
      </c>
      <c r="E21" s="4" t="s">
        <v>134</v>
      </c>
      <c r="F21" s="16">
        <v>520</v>
      </c>
      <c r="G21" s="16">
        <v>85</v>
      </c>
      <c r="H21" s="8">
        <f t="shared" si="7"/>
        <v>16.346153846153847</v>
      </c>
      <c r="I21" s="16">
        <v>68</v>
      </c>
      <c r="J21" s="8">
        <f t="shared" si="0"/>
        <v>80</v>
      </c>
      <c r="K21" s="16" t="s">
        <v>98</v>
      </c>
      <c r="L21" s="7" t="s">
        <v>92</v>
      </c>
      <c r="M21" s="16">
        <v>6</v>
      </c>
      <c r="N21" s="16">
        <v>6</v>
      </c>
      <c r="O21" s="8">
        <f t="shared" si="8"/>
        <v>100</v>
      </c>
      <c r="P21" s="16">
        <v>5</v>
      </c>
      <c r="Q21" s="16" t="s">
        <v>99</v>
      </c>
      <c r="R21" s="33" t="s">
        <v>95</v>
      </c>
      <c r="S21" s="4">
        <v>2173</v>
      </c>
      <c r="T21" s="16">
        <v>2068</v>
      </c>
      <c r="U21" s="16">
        <v>44</v>
      </c>
      <c r="V21" s="8">
        <f t="shared" si="9"/>
        <v>2.1276595744680851</v>
      </c>
      <c r="W21" s="8">
        <f>F21/8</f>
        <v>65</v>
      </c>
      <c r="X21" s="8">
        <f>I21/8</f>
        <v>8.5</v>
      </c>
      <c r="Y21" s="4">
        <f t="shared" si="10"/>
        <v>434.6</v>
      </c>
      <c r="Z21" s="16" t="s">
        <v>100</v>
      </c>
      <c r="AA21" s="4">
        <f>2/8*100</f>
        <v>25</v>
      </c>
      <c r="AB21" s="32">
        <v>2</v>
      </c>
      <c r="AC21" s="8">
        <f>8/I21*100</f>
        <v>11.76470588235294</v>
      </c>
    </row>
    <row r="22" spans="1:29" ht="17" x14ac:dyDescent="0.2">
      <c r="A22" s="4">
        <v>18</v>
      </c>
      <c r="B22" s="4" t="s">
        <v>79</v>
      </c>
      <c r="C22" s="4" t="s">
        <v>71</v>
      </c>
      <c r="D22" s="4" t="s">
        <v>60</v>
      </c>
      <c r="E22" s="5" t="s">
        <v>129</v>
      </c>
      <c r="F22" s="16">
        <v>527</v>
      </c>
      <c r="G22" s="16">
        <v>47</v>
      </c>
      <c r="H22" s="8">
        <f t="shared" si="7"/>
        <v>8.9184060721062615</v>
      </c>
      <c r="I22" s="16">
        <v>23</v>
      </c>
      <c r="J22" s="8">
        <f t="shared" si="0"/>
        <v>48.936170212765958</v>
      </c>
      <c r="K22" s="7" t="s">
        <v>101</v>
      </c>
      <c r="L22" s="7" t="s">
        <v>102</v>
      </c>
      <c r="M22" s="16">
        <v>28</v>
      </c>
      <c r="N22" s="16">
        <v>17</v>
      </c>
      <c r="O22" s="8">
        <f t="shared" si="8"/>
        <v>60.714285714285708</v>
      </c>
      <c r="P22" s="16">
        <v>10</v>
      </c>
      <c r="Q22" s="16" t="s">
        <v>103</v>
      </c>
      <c r="R22" s="33" t="s">
        <v>104</v>
      </c>
      <c r="S22" s="16">
        <v>1813</v>
      </c>
      <c r="T22" s="16">
        <v>1813</v>
      </c>
      <c r="U22" s="16">
        <v>1247</v>
      </c>
      <c r="V22" s="8">
        <f t="shared" si="9"/>
        <v>68.781025923883064</v>
      </c>
      <c r="W22" s="8">
        <f>F22/24</f>
        <v>21.958333333333332</v>
      </c>
      <c r="X22" s="8">
        <f>I22/24</f>
        <v>0.95833333333333337</v>
      </c>
      <c r="Y22" s="4">
        <f t="shared" si="10"/>
        <v>181.3</v>
      </c>
      <c r="Z22" s="16" t="s">
        <v>96</v>
      </c>
      <c r="AA22" s="16">
        <f>12/19*100</f>
        <v>63.157894736842103</v>
      </c>
      <c r="AB22" s="32">
        <v>18</v>
      </c>
      <c r="AC22" s="8">
        <f>24/I22*100</f>
        <v>104.34782608695652</v>
      </c>
    </row>
    <row r="23" spans="1:29" ht="17" x14ac:dyDescent="0.2">
      <c r="A23" s="4">
        <v>19</v>
      </c>
      <c r="B23" s="4" t="s">
        <v>79</v>
      </c>
      <c r="C23" s="4" t="s">
        <v>75</v>
      </c>
      <c r="D23" s="4" t="s">
        <v>60</v>
      </c>
      <c r="E23" s="5" t="s">
        <v>129</v>
      </c>
      <c r="F23" s="16">
        <v>310</v>
      </c>
      <c r="G23" s="16">
        <v>17</v>
      </c>
      <c r="H23" s="8">
        <f t="shared" si="7"/>
        <v>5.4838709677419359</v>
      </c>
      <c r="I23" s="16">
        <v>12</v>
      </c>
      <c r="J23" s="8">
        <f t="shared" si="0"/>
        <v>70.588235294117652</v>
      </c>
      <c r="K23" s="7" t="s">
        <v>105</v>
      </c>
      <c r="L23" s="7" t="s">
        <v>102</v>
      </c>
      <c r="M23" s="16">
        <v>9</v>
      </c>
      <c r="N23" s="16">
        <v>6</v>
      </c>
      <c r="O23" s="8">
        <f t="shared" si="8"/>
        <v>66.666666666666657</v>
      </c>
      <c r="P23" s="16" t="s">
        <v>106</v>
      </c>
      <c r="Q23" s="16" t="s">
        <v>87</v>
      </c>
      <c r="R23" s="33" t="s">
        <v>107</v>
      </c>
      <c r="S23" s="16">
        <v>1195</v>
      </c>
      <c r="T23" s="16">
        <v>1195</v>
      </c>
      <c r="U23" s="16">
        <v>211</v>
      </c>
      <c r="V23" s="8">
        <f t="shared" si="9"/>
        <v>17.656903765690377</v>
      </c>
      <c r="W23" s="8">
        <f>F23/7</f>
        <v>44.285714285714285</v>
      </c>
      <c r="X23" s="8">
        <f>I23/7</f>
        <v>1.7142857142857142</v>
      </c>
      <c r="Y23" s="4">
        <f t="shared" si="10"/>
        <v>597.5</v>
      </c>
      <c r="Z23" s="16" t="s">
        <v>108</v>
      </c>
      <c r="AA23" s="16">
        <f>6/11*100</f>
        <v>54.54545454545454</v>
      </c>
      <c r="AB23" s="32">
        <v>4</v>
      </c>
      <c r="AC23" s="8">
        <f>7/I23*100</f>
        <v>58.333333333333336</v>
      </c>
    </row>
    <row r="24" spans="1:29" ht="17" x14ac:dyDescent="0.2">
      <c r="A24" s="4">
        <v>20</v>
      </c>
      <c r="B24" s="34" t="s">
        <v>79</v>
      </c>
      <c r="C24" s="4" t="s">
        <v>75</v>
      </c>
      <c r="D24" s="4" t="s">
        <v>60</v>
      </c>
      <c r="E24" s="5" t="s">
        <v>129</v>
      </c>
      <c r="F24" s="16">
        <v>646</v>
      </c>
      <c r="G24" s="16">
        <v>10</v>
      </c>
      <c r="H24" s="8" t="s">
        <v>109</v>
      </c>
      <c r="I24" s="16">
        <v>8</v>
      </c>
      <c r="J24" s="8">
        <f t="shared" si="0"/>
        <v>80</v>
      </c>
      <c r="K24" s="4" t="s">
        <v>110</v>
      </c>
      <c r="L24" s="7" t="s">
        <v>111</v>
      </c>
      <c r="M24" s="16">
        <v>7</v>
      </c>
      <c r="N24" s="16">
        <v>7</v>
      </c>
      <c r="O24" s="4">
        <v>100</v>
      </c>
      <c r="P24" s="16">
        <v>3</v>
      </c>
      <c r="Q24" s="16" t="s">
        <v>83</v>
      </c>
      <c r="R24" s="33" t="s">
        <v>112</v>
      </c>
      <c r="S24" s="16">
        <v>1030</v>
      </c>
      <c r="T24" s="35">
        <v>331</v>
      </c>
      <c r="U24" s="35">
        <v>97</v>
      </c>
      <c r="V24" s="8">
        <f t="shared" si="9"/>
        <v>29.305135951661633</v>
      </c>
      <c r="W24" s="36" t="s">
        <v>113</v>
      </c>
      <c r="X24" s="8">
        <f>I24/4</f>
        <v>2</v>
      </c>
      <c r="Y24" s="36">
        <v>257.5</v>
      </c>
      <c r="Z24" s="4" t="s">
        <v>84</v>
      </c>
      <c r="AA24" s="4">
        <f>1/4*100</f>
        <v>25</v>
      </c>
      <c r="AB24" s="32">
        <v>2</v>
      </c>
      <c r="AC24" s="8">
        <v>50</v>
      </c>
    </row>
    <row r="25" spans="1:29" x14ac:dyDescent="0.2">
      <c r="A25" s="21">
        <v>21</v>
      </c>
      <c r="B25" s="21" t="s">
        <v>79</v>
      </c>
      <c r="C25" s="21" t="s">
        <v>71</v>
      </c>
      <c r="D25" s="21" t="s">
        <v>72</v>
      </c>
      <c r="E25" s="21" t="s">
        <v>130</v>
      </c>
      <c r="F25" s="22">
        <f>182+137+130</f>
        <v>449</v>
      </c>
      <c r="G25" s="22">
        <v>33</v>
      </c>
      <c r="H25" s="23">
        <f t="shared" ref="H25:H26" si="11">G25/F25*100</f>
        <v>7.3496659242761693</v>
      </c>
      <c r="I25" s="22">
        <v>22</v>
      </c>
      <c r="J25" s="23">
        <f t="shared" si="0"/>
        <v>66.666666666666657</v>
      </c>
      <c r="K25" s="22" t="s">
        <v>114</v>
      </c>
      <c r="L25" s="22" t="s">
        <v>74</v>
      </c>
      <c r="M25" s="22">
        <v>18</v>
      </c>
      <c r="N25" s="37">
        <v>10</v>
      </c>
      <c r="O25" s="23">
        <f t="shared" ref="O25:O26" si="12">N25/M25*100</f>
        <v>55.555555555555557</v>
      </c>
      <c r="P25" s="22">
        <v>5</v>
      </c>
      <c r="Q25" s="22" t="s">
        <v>115</v>
      </c>
      <c r="R25" s="38" t="s">
        <v>116</v>
      </c>
      <c r="S25" s="21">
        <v>1014</v>
      </c>
      <c r="T25" s="22">
        <v>589</v>
      </c>
      <c r="U25" s="22">
        <v>314</v>
      </c>
      <c r="V25" s="23">
        <f t="shared" si="9"/>
        <v>53.310696095076402</v>
      </c>
      <c r="W25" s="23">
        <f>F25/12</f>
        <v>37.416666666666664</v>
      </c>
      <c r="X25" s="8">
        <f>I25/12</f>
        <v>1.8333333333333333</v>
      </c>
      <c r="Y25" s="21">
        <f>S25/P25</f>
        <v>202.8</v>
      </c>
      <c r="Z25" s="22" t="s">
        <v>117</v>
      </c>
      <c r="AA25" s="22">
        <f>7/12*100</f>
        <v>58.333333333333336</v>
      </c>
      <c r="AB25" s="37">
        <v>9</v>
      </c>
      <c r="AC25" s="23">
        <f>12/I25*100</f>
        <v>54.54545454545454</v>
      </c>
    </row>
    <row r="26" spans="1:29" x14ac:dyDescent="0.2">
      <c r="A26" s="21">
        <v>22</v>
      </c>
      <c r="B26" s="21" t="s">
        <v>79</v>
      </c>
      <c r="C26" s="21" t="s">
        <v>75</v>
      </c>
      <c r="D26" s="21" t="s">
        <v>72</v>
      </c>
      <c r="E26" s="21" t="s">
        <v>130</v>
      </c>
      <c r="F26" s="22">
        <f>71+94+116</f>
        <v>281</v>
      </c>
      <c r="G26" s="22">
        <v>14</v>
      </c>
      <c r="H26" s="23">
        <f t="shared" si="11"/>
        <v>4.9822064056939501</v>
      </c>
      <c r="I26" s="22">
        <v>12</v>
      </c>
      <c r="J26" s="23">
        <f t="shared" si="0"/>
        <v>85.714285714285708</v>
      </c>
      <c r="K26" s="22" t="s">
        <v>118</v>
      </c>
      <c r="L26" s="22" t="s">
        <v>74</v>
      </c>
      <c r="M26" s="22">
        <v>7</v>
      </c>
      <c r="N26" s="22">
        <v>6</v>
      </c>
      <c r="O26" s="23">
        <f t="shared" si="12"/>
        <v>85.714285714285708</v>
      </c>
      <c r="P26" s="22">
        <v>5</v>
      </c>
      <c r="Q26" s="22" t="s">
        <v>119</v>
      </c>
      <c r="R26" s="22" t="s">
        <v>120</v>
      </c>
      <c r="S26" s="21">
        <v>870</v>
      </c>
      <c r="T26" s="22">
        <v>600</v>
      </c>
      <c r="U26" s="22">
        <f>6+1+75+25+46</f>
        <v>153</v>
      </c>
      <c r="V26" s="23">
        <f t="shared" si="9"/>
        <v>25.5</v>
      </c>
      <c r="W26" s="23">
        <f>F26/9</f>
        <v>31.222222222222221</v>
      </c>
      <c r="X26" s="8">
        <f>I26/9</f>
        <v>1.3333333333333333</v>
      </c>
      <c r="Y26" s="21">
        <f>S26/P26</f>
        <v>174</v>
      </c>
      <c r="Z26" s="22" t="s">
        <v>121</v>
      </c>
      <c r="AA26" s="22">
        <f>5/9*100</f>
        <v>55.555555555555557</v>
      </c>
      <c r="AB26" s="22">
        <v>14</v>
      </c>
      <c r="AC26" s="23">
        <f>9/I26*100</f>
        <v>75</v>
      </c>
    </row>
    <row r="27" spans="1:29" x14ac:dyDescent="0.2">
      <c r="A27" s="42" t="s">
        <v>77</v>
      </c>
      <c r="B27" s="42"/>
      <c r="C27" s="42"/>
      <c r="D27" s="42"/>
      <c r="E27" s="42"/>
      <c r="F27" s="44"/>
      <c r="G27" s="44"/>
      <c r="H27" s="44">
        <f t="shared" ref="H27:O27" si="13">AVERAGE(H18:H26)</f>
        <v>11.358535630214135</v>
      </c>
      <c r="I27" s="44"/>
      <c r="J27" s="44">
        <f t="shared" si="13"/>
        <v>70.895467115742449</v>
      </c>
      <c r="K27" s="44"/>
      <c r="L27" s="44"/>
      <c r="M27" s="44"/>
      <c r="N27" s="44"/>
      <c r="O27" s="44">
        <f t="shared" si="13"/>
        <v>72.779381112714447</v>
      </c>
      <c r="P27" s="44"/>
      <c r="Q27" s="44"/>
      <c r="R27" s="44"/>
      <c r="S27" s="44"/>
      <c r="T27" s="44"/>
      <c r="U27" s="44"/>
      <c r="V27" s="44">
        <f>AVERAGE(V18:V26)</f>
        <v>27.730975315410188</v>
      </c>
      <c r="W27" s="44">
        <f>AVERAGE(W18:W26)</f>
        <v>37.62751931913116</v>
      </c>
      <c r="X27" s="44">
        <f>AVERAGE(X18:X26)</f>
        <v>3.0690267335004173</v>
      </c>
      <c r="Y27" s="44">
        <f>AVERAGE(Y18:Y26)</f>
        <v>319.28989898989897</v>
      </c>
      <c r="Z27" s="44"/>
      <c r="AA27" s="44">
        <f>AVERAGE(AA18:AA26)</f>
        <v>50.607157624701479</v>
      </c>
      <c r="AB27" s="44">
        <f>AVERAGE(AB18:AB26)</f>
        <v>6.7777777777777777</v>
      </c>
      <c r="AC27" s="44">
        <f>AVERAGE(AC18:AC26)</f>
        <v>55.163759703401645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Irina Häcker</cp:lastModifiedBy>
  <dcterms:created xsi:type="dcterms:W3CDTF">2023-06-21T16:33:08Z</dcterms:created>
  <dcterms:modified xsi:type="dcterms:W3CDTF">2023-08-14T11:17:37Z</dcterms:modified>
</cp:coreProperties>
</file>